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die\OneDrive\Documents\Administration_club\"/>
    </mc:Choice>
  </mc:AlternateContent>
  <xr:revisionPtr revIDLastSave="0" documentId="13_ncr:1_{BBE70A9D-5651-45D6-A93A-F0AF97890808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Feuil1" sheetId="2" r:id="rId1"/>
    <sheet name="Feuil2" sheetId="3" state="hidden" r:id="rId2"/>
  </sheets>
  <calcPr calcId="191029"/>
  <customWorkbookViews>
    <customWorkbookView name="us - Affichage personnalisé" guid="{F4323760-51AB-488F-9CA8-D3B6F44985BE}" mergeInterval="0" personalView="1" maximized="1" windowWidth="1020" windowHeight="5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3" l="1"/>
  <c r="E2" i="3"/>
  <c r="D3" i="3"/>
  <c r="D2" i="3"/>
  <c r="B55" i="2" l="1"/>
  <c r="D55" i="2" s="1"/>
  <c r="B53" i="2"/>
  <c r="B57" i="2" s="1"/>
  <c r="D51" i="2"/>
  <c r="D50" i="2"/>
  <c r="D49" i="2"/>
  <c r="D48" i="2"/>
  <c r="D53" i="2" s="1"/>
  <c r="A42" i="2"/>
  <c r="F41" i="2"/>
  <c r="C39" i="2"/>
  <c r="C37" i="2"/>
  <c r="C36" i="2"/>
  <c r="C38" i="2" s="1"/>
  <c r="C41" i="2" s="1"/>
  <c r="C42" i="2" s="1"/>
  <c r="I34" i="2"/>
  <c r="D27" i="2"/>
  <c r="C27" i="2"/>
  <c r="C25" i="2"/>
  <c r="D25" i="2" s="1"/>
  <c r="D24" i="2"/>
  <c r="C24" i="2"/>
  <c r="B25" i="2" l="1"/>
  <c r="B26" i="2" s="1"/>
  <c r="A60" i="2"/>
  <c r="A59" i="2"/>
  <c r="C53" i="2"/>
  <c r="D57" i="2"/>
  <c r="C57" i="2" s="1"/>
  <c r="C26" i="2" l="1"/>
  <c r="B29" i="2"/>
  <c r="C29" i="2" l="1"/>
  <c r="D26" i="2"/>
  <c r="D29" i="2" s="1"/>
  <c r="H23" i="2" s="1"/>
  <c r="H24" i="2" l="1"/>
  <c r="H28" i="2" s="1"/>
  <c r="I28" i="2" s="1"/>
  <c r="I31" i="2" s="1"/>
  <c r="I35" i="2" s="1"/>
  <c r="I36" i="2" s="1"/>
  <c r="H31" i="2" l="1"/>
  <c r="F32" i="2" l="1"/>
  <c r="H35" i="2"/>
  <c r="H36" i="2" s="1"/>
  <c r="F37" i="2" l="1"/>
  <c r="I38" i="2"/>
</calcChain>
</file>

<file path=xl/sharedStrings.xml><?xml version="1.0" encoding="utf-8"?>
<sst xmlns="http://schemas.openxmlformats.org/spreadsheetml/2006/main" count="118" uniqueCount="87">
  <si>
    <t xml:space="preserve"> MASSE et CENTRAGE pour ROBIN DR 400-120 F-GNNS</t>
  </si>
  <si>
    <t xml:space="preserve"> Parcours:</t>
  </si>
  <si>
    <r>
      <t xml:space="preserve"> Carburant 100 LL   </t>
    </r>
    <r>
      <rPr>
        <b/>
        <sz val="11"/>
        <color indexed="10"/>
        <rFont val="Arial"/>
        <family val="2"/>
      </rPr>
      <t>Charge total max.</t>
    </r>
    <r>
      <rPr>
        <sz val="11"/>
        <rFont val="Arial"/>
        <family val="2"/>
      </rPr>
      <t xml:space="preserve"> 900 kg</t>
    </r>
  </si>
  <si>
    <t>Total diff. ASFC to Alt/FL</t>
  </si>
  <si>
    <t>ft</t>
  </si>
  <si>
    <t>Nombre total de TKOF</t>
  </si>
  <si>
    <t xml:space="preserve"> Roulage</t>
  </si>
  <si>
    <t xml:space="preserve"> 5'/roul =&gt; 3 l/roul. (forfait)</t>
  </si>
  <si>
    <t>Avions</t>
  </si>
  <si>
    <t>Masses</t>
  </si>
  <si>
    <t>Moments</t>
  </si>
  <si>
    <t xml:space="preserve"> Montée</t>
  </si>
  <si>
    <t xml:space="preserve"> 0,5 l/min &amp;  2,7Nm/1000 ft &amp;  2'/1000 ft</t>
  </si>
  <si>
    <t>F-GNNS</t>
  </si>
  <si>
    <t>5559Kg</t>
  </si>
  <si>
    <t>165 kg.m</t>
  </si>
  <si>
    <t xml:space="preserve"> Croisière</t>
  </si>
  <si>
    <t xml:space="preserve"> Vp = 100 kt/h  =&gt; 0,4 l/min</t>
  </si>
  <si>
    <t xml:space="preserve"> </t>
  </si>
  <si>
    <t xml:space="preserve"> Approche</t>
  </si>
  <si>
    <t xml:space="preserve"> 10'/app =&gt; 4 l/app (forfait)</t>
  </si>
  <si>
    <t xml:space="preserve"> Réserve finale</t>
  </si>
  <si>
    <t xml:space="preserve"> Jour: 20' =&gt; 8 l  Nuit: 45' =&gt; 18 l</t>
  </si>
  <si>
    <t xml:space="preserve"> Plein Carburant</t>
  </si>
  <si>
    <t xml:space="preserve"> 110 l x 0,72 kg/l = 79 kg</t>
  </si>
  <si>
    <t xml:space="preserve"> Limitations opérationnelles: TKOF…….....….kg        En route:……..…… kg          LND: …………………..kg</t>
  </si>
  <si>
    <t xml:space="preserve"> Prévisions carburant.</t>
  </si>
  <si>
    <t xml:space="preserve"> RA: délestage + 10% + 20 min.</t>
  </si>
  <si>
    <t xml:space="preserve"> max. réservoire: 110 l = 79 kg</t>
  </si>
  <si>
    <t>Distance (Nm)</t>
  </si>
  <si>
    <t>Temps (min)</t>
  </si>
  <si>
    <t>Carburant (l)</t>
  </si>
  <si>
    <t xml:space="preserve"> Délestage/consom.</t>
  </si>
  <si>
    <t xml:space="preserve"> litres</t>
  </si>
  <si>
    <t xml:space="preserve"> Roulage(s)</t>
  </si>
  <si>
    <t>forfait</t>
  </si>
  <si>
    <t xml:space="preserve"> + 10 % Réserve</t>
  </si>
  <si>
    <t xml:space="preserve"> + Montée(s)</t>
  </si>
  <si>
    <t xml:space="preserve"> + Dégagement(s)</t>
  </si>
  <si>
    <t xml:space="preserve"> + Croisière(s)</t>
  </si>
  <si>
    <r>
      <t xml:space="preserve"> + 20' Réserve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jour</t>
    </r>
  </si>
  <si>
    <t xml:space="preserve"> + Approche(s)</t>
  </si>
  <si>
    <t xml:space="preserve"> + Fond réservoire</t>
  </si>
  <si>
    <t xml:space="preserve"> = Min carbur. RA (l)</t>
  </si>
  <si>
    <t>kg</t>
  </si>
  <si>
    <t xml:space="preserve"> = Total </t>
  </si>
  <si>
    <t xml:space="preserve"> Carburant utile</t>
  </si>
  <si>
    <t>Chargement</t>
  </si>
  <si>
    <r>
      <t xml:space="preserve"> Limitation utile</t>
    </r>
    <r>
      <rPr>
        <sz val="8"/>
        <rFont val="Arial"/>
        <family val="2"/>
      </rPr>
      <t xml:space="preserve"> (selon perf.et/ou piste)</t>
    </r>
  </si>
  <si>
    <t xml:space="preserve"> kg</t>
  </si>
  <si>
    <t xml:space="preserve"> Carbur embarqué (l)</t>
  </si>
  <si>
    <r>
      <t xml:space="preserve"> - Masse avion à vide </t>
    </r>
    <r>
      <rPr>
        <sz val="8"/>
        <rFont val="Arial"/>
        <family val="2"/>
      </rPr>
      <t>(selon manuel)</t>
    </r>
  </si>
  <si>
    <t xml:space="preserve"> - Min carbur RA (l)</t>
  </si>
  <si>
    <t xml:space="preserve"> = Charge offerte</t>
  </si>
  <si>
    <t xml:space="preserve"> = Réserve supp. (l)</t>
  </si>
  <si>
    <r>
      <t xml:space="preserve"> - carburant</t>
    </r>
    <r>
      <rPr>
        <sz val="11"/>
        <color indexed="12"/>
        <rFont val="Arial"/>
        <family val="2"/>
      </rPr>
      <t xml:space="preserve"> embarqué</t>
    </r>
  </si>
  <si>
    <t xml:space="preserve"> = Charge autorisée Pax+soute</t>
  </si>
  <si>
    <t xml:space="preserve"> =&gt; Autonomie supplément.</t>
  </si>
  <si>
    <t xml:space="preserve"> - Charge réelle Pax + soute</t>
  </si>
  <si>
    <t xml:space="preserve">       disponible pour vol palier</t>
  </si>
  <si>
    <t xml:space="preserve"> minutes</t>
  </si>
  <si>
    <t xml:space="preserve"> = Charge offerte restante</t>
  </si>
  <si>
    <r>
      <t xml:space="preserve"> </t>
    </r>
    <r>
      <rPr>
        <b/>
        <u/>
        <sz val="12"/>
        <color indexed="12"/>
        <rFont val="Arial"/>
        <family val="2"/>
      </rPr>
      <t>CALCUL  CENTRAGE</t>
    </r>
  </si>
  <si>
    <t>CENTROGRAMME</t>
  </si>
  <si>
    <t>bras levier</t>
  </si>
  <si>
    <t xml:space="preserve"> (kg)</t>
  </si>
  <si>
    <t xml:space="preserve"> (m)</t>
  </si>
  <si>
    <t xml:space="preserve"> (kg.m)</t>
  </si>
  <si>
    <t xml:space="preserve"> Masse à vide</t>
  </si>
  <si>
    <t>x 0,334 =</t>
  </si>
  <si>
    <t xml:space="preserve"> + Pax avant</t>
  </si>
  <si>
    <t xml:space="preserve"> x 0,41 =</t>
  </si>
  <si>
    <t xml:space="preserve"> + Pax arrière</t>
  </si>
  <si>
    <t xml:space="preserve"> x 1,19 =</t>
  </si>
  <si>
    <t xml:space="preserve"> + Soute (40 kg)</t>
  </si>
  <si>
    <t xml:space="preserve"> x 1,90 =</t>
  </si>
  <si>
    <t xml:space="preserve"> = Tot. hors fuel</t>
  </si>
  <si>
    <r>
      <t xml:space="preserve"> + Fuel emb. (</t>
    </r>
    <r>
      <rPr>
        <sz val="8"/>
        <rFont val="Arial"/>
        <family val="2"/>
      </rPr>
      <t>Kg)</t>
    </r>
  </si>
  <si>
    <t xml:space="preserve"> x 1,12 =</t>
  </si>
  <si>
    <t xml:space="preserve"> = Masse TKOF</t>
  </si>
  <si>
    <t>leviers</t>
  </si>
  <si>
    <t>leviers calculés</t>
  </si>
  <si>
    <t>Masse calculée</t>
  </si>
  <si>
    <t>Masse</t>
  </si>
  <si>
    <t>DR 400-120</t>
  </si>
  <si>
    <t xml:space="preserve"> Ne remplir que les cases jaunes, le reste est automatique !</t>
  </si>
  <si>
    <r>
      <t xml:space="preserve">Distance totale </t>
    </r>
    <r>
      <rPr>
        <sz val="9"/>
        <rFont val="Arial"/>
        <family val="2"/>
      </rPr>
      <t>(Nm)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</si>
</sst>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 ;[Red]\-#,##0\ "/>
    <numFmt numFmtId="166" formatCode="hh/mm&quot; h&quot;;@"/>
    <numFmt numFmtId="167" formatCode="0.000"/>
  </numFmts>
  <fonts count="22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6"/>
      <color indexed="17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u/>
      <sz val="11"/>
      <name val="Arial"/>
      <family val="2"/>
    </font>
    <font>
      <b/>
      <sz val="12"/>
      <color indexed="10"/>
      <name val="Arial"/>
      <family val="2"/>
    </font>
    <font>
      <b/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6" xfId="0" applyFont="1" applyBorder="1"/>
    <xf numFmtId="0" fontId="7" fillId="0" borderId="0" xfId="0" applyFont="1" applyAlignment="1">
      <alignment horizontal="right"/>
    </xf>
    <xf numFmtId="0" fontId="8" fillId="3" borderId="0" xfId="0" applyFont="1" applyFill="1" applyAlignment="1">
      <alignment horizontal="right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/>
    <xf numFmtId="0" fontId="6" fillId="0" borderId="0" xfId="0" applyFont="1"/>
    <xf numFmtId="0" fontId="8" fillId="0" borderId="0" xfId="0" applyFont="1" applyAlignment="1">
      <alignment horizontal="right"/>
    </xf>
    <xf numFmtId="0" fontId="3" fillId="4" borderId="7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7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1" fontId="10" fillId="0" borderId="7" xfId="0" applyNumberFormat="1" applyFont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0" borderId="12" xfId="0" applyFont="1" applyBorder="1"/>
    <xf numFmtId="3" fontId="3" fillId="0" borderId="6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left"/>
    </xf>
    <xf numFmtId="1" fontId="2" fillId="0" borderId="1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14" xfId="0" applyFont="1" applyBorder="1"/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5" xfId="0" applyFont="1" applyBorder="1"/>
    <xf numFmtId="3" fontId="2" fillId="0" borderId="1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10" fillId="0" borderId="0" xfId="0" applyFont="1"/>
    <xf numFmtId="0" fontId="2" fillId="0" borderId="17" xfId="0" applyFont="1" applyBorder="1"/>
    <xf numFmtId="0" fontId="2" fillId="0" borderId="18" xfId="0" applyFont="1" applyBorder="1"/>
    <xf numFmtId="3" fontId="2" fillId="0" borderId="18" xfId="0" applyNumberFormat="1" applyFont="1" applyBorder="1"/>
    <xf numFmtId="165" fontId="13" fillId="0" borderId="19" xfId="0" applyNumberFormat="1" applyFont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3" fontId="2" fillId="0" borderId="21" xfId="0" applyNumberFormat="1" applyFont="1" applyBorder="1"/>
    <xf numFmtId="166" fontId="2" fillId="0" borderId="22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2" xfId="0" applyFont="1" applyBorder="1"/>
    <xf numFmtId="165" fontId="2" fillId="0" borderId="13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5" borderId="13" xfId="0" applyNumberFormat="1" applyFont="1" applyFill="1" applyBorder="1" applyAlignment="1">
      <alignment horizontal="center"/>
    </xf>
    <xf numFmtId="0" fontId="18" fillId="0" borderId="0" xfId="0" applyFont="1"/>
    <xf numFmtId="167" fontId="19" fillId="0" borderId="23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" fontId="0" fillId="0" borderId="0" xfId="0" applyNumberFormat="1"/>
    <xf numFmtId="0" fontId="0" fillId="0" borderId="8" xfId="0" applyBorder="1"/>
    <xf numFmtId="0" fontId="0" fillId="0" borderId="10" xfId="0" applyBorder="1"/>
    <xf numFmtId="167" fontId="0" fillId="0" borderId="11" xfId="0" applyNumberFormat="1" applyBorder="1"/>
    <xf numFmtId="0" fontId="0" fillId="0" borderId="14" xfId="0" applyBorder="1"/>
    <xf numFmtId="167" fontId="21" fillId="0" borderId="11" xfId="0" applyNumberFormat="1" applyFont="1" applyBorder="1" applyAlignment="1">
      <alignment horizontal="right"/>
    </xf>
    <xf numFmtId="167" fontId="0" fillId="0" borderId="8" xfId="0" applyNumberFormat="1" applyBorder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5525173708487E-2"/>
          <c:y val="9.1606421678123912E-2"/>
          <c:w val="0.87535942439047598"/>
          <c:h val="0.77865458426405332"/>
        </c:manualLayout>
      </c:layout>
      <c:scatterChart>
        <c:scatterStyle val="lineMarker"/>
        <c:varyColors val="0"/>
        <c:ser>
          <c:idx val="0"/>
          <c:order val="0"/>
          <c:tx>
            <c:v>Masses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5"/>
              <c:pt idx="0">
                <c:v>0.20499999999999999</c:v>
              </c:pt>
              <c:pt idx="1">
                <c:v>0.20499999999999999</c:v>
              </c:pt>
              <c:pt idx="2">
                <c:v>0.42799999999999999</c:v>
              </c:pt>
              <c:pt idx="3">
                <c:v>0.56399999999999995</c:v>
              </c:pt>
              <c:pt idx="4">
                <c:v>0.56399999999999995</c:v>
              </c:pt>
            </c:numLit>
          </c:xVal>
          <c:yVal>
            <c:numLit>
              <c:formatCode>General</c:formatCode>
              <c:ptCount val="5"/>
              <c:pt idx="0">
                <c:v>600</c:v>
              </c:pt>
              <c:pt idx="1">
                <c:v>750</c:v>
              </c:pt>
              <c:pt idx="2">
                <c:v>900</c:v>
              </c:pt>
              <c:pt idx="3">
                <c:v>900</c:v>
              </c:pt>
              <c:pt idx="4">
                <c:v>600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8B2-4BAD-8FAC-78E70DF3EE12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0.46126368159203979</c:v>
              </c:pt>
              <c:pt idx="1">
                <c:v>0.51039594843462255</c:v>
              </c:pt>
            </c:numLit>
          </c:xVal>
          <c:yVal>
            <c:numLit>
              <c:formatCode>General</c:formatCode>
              <c:ptCount val="2"/>
              <c:pt idx="0">
                <c:v>804</c:v>
              </c:pt>
              <c:pt idx="1">
                <c:v>868.8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8B2-4BAD-8FAC-78E70DF3E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076624"/>
        <c:axId val="1"/>
      </c:scatterChart>
      <c:valAx>
        <c:axId val="348076624"/>
        <c:scaling>
          <c:orientation val="minMax"/>
          <c:max val="0.6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950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8076624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45</xdr:row>
      <xdr:rowOff>83820</xdr:rowOff>
    </xdr:from>
    <xdr:to>
      <xdr:col>9</xdr:col>
      <xdr:colOff>129540</xdr:colOff>
      <xdr:row>58</xdr:row>
      <xdr:rowOff>45720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807C38-6530-404F-ABFA-FAB010E89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61"/>
  <sheetViews>
    <sheetView tabSelected="1" zoomScaleNormal="100" workbookViewId="0">
      <selection activeCell="H25" sqref="H25"/>
    </sheetView>
  </sheetViews>
  <sheetFormatPr baseColWidth="10" defaultRowHeight="15" x14ac:dyDescent="0.25"/>
  <cols>
    <col min="1" max="1" width="17" style="9" customWidth="1"/>
    <col min="2" max="2" width="14.6640625" style="9" customWidth="1"/>
    <col min="3" max="3" width="12.6640625" style="9" customWidth="1"/>
    <col min="4" max="4" width="12.44140625" style="9" customWidth="1"/>
    <col min="5" max="5" width="2" style="9" customWidth="1"/>
    <col min="6" max="6" width="10.33203125" style="9" customWidth="1"/>
    <col min="7" max="7" width="10" style="9" customWidth="1"/>
    <col min="8" max="8" width="10.88671875" style="9" customWidth="1"/>
    <col min="9" max="9" width="9.88671875" style="9" customWidth="1"/>
    <col min="10" max="10" width="2.44140625" style="9" customWidth="1"/>
    <col min="11" max="11" width="11.44140625" style="3" customWidth="1"/>
  </cols>
  <sheetData>
    <row r="1" spans="1:11" x14ac:dyDescent="0.25">
      <c r="A1" s="1" t="s">
        <v>85</v>
      </c>
      <c r="B1" s="2"/>
      <c r="C1" s="2"/>
      <c r="D1" s="2"/>
      <c r="E1" s="2"/>
      <c r="F1" s="2"/>
      <c r="G1" s="2"/>
      <c r="H1" s="2"/>
      <c r="I1" s="2"/>
      <c r="J1" s="2"/>
    </row>
    <row r="2" spans="1:11" s="7" customFormat="1" ht="5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21" x14ac:dyDescent="0.4">
      <c r="A3" s="8" t="s">
        <v>0</v>
      </c>
    </row>
    <row r="4" spans="1:11" ht="2.25" customHeight="1" thickBot="1" x14ac:dyDescent="0.45">
      <c r="A4" s="8"/>
    </row>
    <row r="5" spans="1:11" ht="16.5" customHeight="1" thickBot="1" x14ac:dyDescent="0.3">
      <c r="A5" s="10" t="s">
        <v>1</v>
      </c>
      <c r="B5" s="11"/>
      <c r="C5" s="11"/>
      <c r="D5" s="11"/>
      <c r="E5" s="11"/>
      <c r="F5" s="11"/>
      <c r="G5" s="11"/>
      <c r="H5" s="11"/>
      <c r="I5" s="12"/>
    </row>
    <row r="6" spans="1:11" ht="4.5" customHeight="1" x14ac:dyDescent="0.25"/>
    <row r="7" spans="1:11" ht="15.6" x14ac:dyDescent="0.3">
      <c r="A7" s="13" t="s">
        <v>2</v>
      </c>
      <c r="B7" s="14"/>
      <c r="C7" s="15"/>
      <c r="G7" s="16"/>
      <c r="H7" s="17" t="s">
        <v>3</v>
      </c>
      <c r="I7" s="18">
        <v>4500</v>
      </c>
      <c r="J7" s="19" t="s">
        <v>4</v>
      </c>
    </row>
    <row r="8" spans="1:11" ht="15.6" x14ac:dyDescent="0.3">
      <c r="C8" s="20"/>
      <c r="E8" s="21" t="s">
        <v>86</v>
      </c>
      <c r="F8" s="22">
        <v>78</v>
      </c>
      <c r="G8" s="23"/>
      <c r="H8" s="17" t="s">
        <v>5</v>
      </c>
      <c r="I8" s="18">
        <v>1</v>
      </c>
      <c r="J8" s="19"/>
    </row>
    <row r="9" spans="1:11" ht="6" customHeight="1" x14ac:dyDescent="0.25"/>
    <row r="10" spans="1:11" ht="15.75" customHeight="1" x14ac:dyDescent="0.25">
      <c r="A10" s="13" t="s">
        <v>6</v>
      </c>
      <c r="B10" s="13" t="s">
        <v>7</v>
      </c>
      <c r="C10" s="14"/>
      <c r="D10" s="24"/>
      <c r="F10" s="25" t="s">
        <v>8</v>
      </c>
      <c r="G10" s="25" t="s">
        <v>9</v>
      </c>
      <c r="H10" s="25" t="s">
        <v>10</v>
      </c>
      <c r="I10" s="26"/>
    </row>
    <row r="11" spans="1:11" ht="15.75" customHeight="1" x14ac:dyDescent="0.25">
      <c r="A11" s="13" t="s">
        <v>11</v>
      </c>
      <c r="B11" s="13" t="s">
        <v>12</v>
      </c>
      <c r="C11" s="14"/>
      <c r="D11" s="24"/>
      <c r="F11" s="25" t="s">
        <v>13</v>
      </c>
      <c r="G11" s="25" t="s">
        <v>14</v>
      </c>
      <c r="H11" s="25" t="s">
        <v>15</v>
      </c>
      <c r="I11" s="26"/>
    </row>
    <row r="12" spans="1:11" ht="15.75" customHeight="1" x14ac:dyDescent="0.25">
      <c r="A12" s="13" t="s">
        <v>16</v>
      </c>
      <c r="B12" s="13" t="s">
        <v>17</v>
      </c>
      <c r="C12" s="14"/>
      <c r="D12" s="24"/>
      <c r="F12" s="25" t="s">
        <v>18</v>
      </c>
      <c r="G12" s="25"/>
      <c r="H12" s="25" t="s">
        <v>18</v>
      </c>
      <c r="I12" s="26"/>
    </row>
    <row r="13" spans="1:11" ht="15.75" customHeight="1" x14ac:dyDescent="0.25">
      <c r="A13" s="13" t="s">
        <v>19</v>
      </c>
      <c r="B13" s="13" t="s">
        <v>20</v>
      </c>
      <c r="C13" s="14"/>
      <c r="D13" s="24"/>
      <c r="F13" s="25" t="s">
        <v>18</v>
      </c>
      <c r="G13" s="25" t="s">
        <v>18</v>
      </c>
      <c r="H13" s="25" t="s">
        <v>18</v>
      </c>
      <c r="I13" s="26"/>
    </row>
    <row r="14" spans="1:11" ht="15.75" customHeight="1" x14ac:dyDescent="0.25">
      <c r="A14" s="13" t="s">
        <v>21</v>
      </c>
      <c r="B14" s="13" t="s">
        <v>22</v>
      </c>
      <c r="C14" s="14"/>
      <c r="D14" s="24"/>
      <c r="F14" s="25" t="s">
        <v>18</v>
      </c>
      <c r="G14" s="25" t="s">
        <v>18</v>
      </c>
      <c r="H14" s="25" t="s">
        <v>18</v>
      </c>
      <c r="I14" s="26"/>
    </row>
    <row r="15" spans="1:11" ht="15.75" customHeight="1" x14ac:dyDescent="0.25">
      <c r="A15" s="13"/>
      <c r="B15" s="13"/>
      <c r="C15" s="14"/>
      <c r="D15" s="24"/>
      <c r="F15" s="25" t="s">
        <v>18</v>
      </c>
      <c r="G15" s="25" t="s">
        <v>18</v>
      </c>
      <c r="H15" s="25" t="s">
        <v>18</v>
      </c>
      <c r="I15" s="26"/>
    </row>
    <row r="16" spans="1:11" ht="15.75" customHeight="1" x14ac:dyDescent="0.25">
      <c r="A16" s="27" t="s">
        <v>23</v>
      </c>
      <c r="B16" s="27" t="s">
        <v>24</v>
      </c>
      <c r="C16" s="28"/>
      <c r="D16" s="29"/>
      <c r="F16" s="25" t="s">
        <v>18</v>
      </c>
      <c r="G16" s="25" t="s">
        <v>18</v>
      </c>
      <c r="H16" s="25" t="s">
        <v>18</v>
      </c>
      <c r="I16" s="26"/>
    </row>
    <row r="17" spans="1:10" ht="6" customHeight="1" x14ac:dyDescent="0.25"/>
    <row r="18" spans="1:10" ht="18.75" customHeight="1" x14ac:dyDescent="0.25">
      <c r="A18" s="13" t="s">
        <v>25</v>
      </c>
      <c r="B18" s="13"/>
      <c r="C18" s="14"/>
      <c r="D18" s="14"/>
      <c r="E18" s="14"/>
      <c r="F18" s="14"/>
      <c r="G18" s="14"/>
      <c r="H18" s="14"/>
      <c r="I18" s="14"/>
      <c r="J18" s="24"/>
    </row>
    <row r="19" spans="1:10" ht="4.5" customHeight="1" x14ac:dyDescent="0.25"/>
    <row r="20" spans="1:10" ht="18.75" customHeight="1" x14ac:dyDescent="0.25">
      <c r="A20" s="13" t="s">
        <v>26</v>
      </c>
      <c r="B20" s="14"/>
      <c r="C20" s="14"/>
      <c r="D20" s="14"/>
      <c r="E20" s="24"/>
      <c r="F20" s="13" t="s">
        <v>27</v>
      </c>
      <c r="G20" s="14"/>
      <c r="H20" s="24"/>
    </row>
    <row r="21" spans="1:10" x14ac:dyDescent="0.25">
      <c r="F21" s="13" t="s">
        <v>28</v>
      </c>
      <c r="G21" s="14"/>
      <c r="H21" s="24"/>
    </row>
    <row r="22" spans="1:10" ht="6.75" customHeight="1" x14ac:dyDescent="0.25"/>
    <row r="23" spans="1:10" x14ac:dyDescent="0.25">
      <c r="B23" s="30" t="s">
        <v>29</v>
      </c>
      <c r="C23" s="25" t="s">
        <v>30</v>
      </c>
      <c r="D23" s="31" t="s">
        <v>31</v>
      </c>
      <c r="F23" s="32" t="s">
        <v>32</v>
      </c>
      <c r="G23" s="32"/>
      <c r="H23" s="33">
        <f>D29</f>
        <v>27.282400000000003</v>
      </c>
      <c r="I23" s="34" t="s">
        <v>33</v>
      </c>
    </row>
    <row r="24" spans="1:10" ht="15.75" customHeight="1" x14ac:dyDescent="0.25">
      <c r="A24" s="13" t="s">
        <v>34</v>
      </c>
      <c r="B24" s="35" t="s">
        <v>35</v>
      </c>
      <c r="C24" s="36">
        <f>I8*5</f>
        <v>5</v>
      </c>
      <c r="D24" s="37">
        <f>C24*3/5</f>
        <v>3</v>
      </c>
      <c r="F24" s="32" t="s">
        <v>36</v>
      </c>
      <c r="G24" s="32"/>
      <c r="H24" s="33">
        <f>0.1*H23</f>
        <v>2.7282400000000004</v>
      </c>
      <c r="I24" s="34" t="s">
        <v>33</v>
      </c>
    </row>
    <row r="25" spans="1:10" ht="15.75" customHeight="1" x14ac:dyDescent="0.25">
      <c r="A25" s="13" t="s">
        <v>37</v>
      </c>
      <c r="B25" s="38">
        <f>500*C25*2.72/1000</f>
        <v>12.24</v>
      </c>
      <c r="C25" s="36">
        <f>(I7*2/1000)*I8</f>
        <v>9</v>
      </c>
      <c r="D25" s="37">
        <f>0.5*C25</f>
        <v>4.5</v>
      </c>
      <c r="F25" s="32" t="s">
        <v>38</v>
      </c>
      <c r="G25" s="32"/>
      <c r="H25" s="18">
        <v>20</v>
      </c>
      <c r="I25" s="34" t="s">
        <v>33</v>
      </c>
    </row>
    <row r="26" spans="1:10" ht="15.75" customHeight="1" x14ac:dyDescent="0.25">
      <c r="A26" s="13" t="s">
        <v>39</v>
      </c>
      <c r="B26" s="36">
        <f>F8-B25</f>
        <v>65.760000000000005</v>
      </c>
      <c r="C26" s="36">
        <f>B26*60/100</f>
        <v>39.456000000000003</v>
      </c>
      <c r="D26" s="37">
        <f>0.4*C26</f>
        <v>15.782400000000003</v>
      </c>
      <c r="F26" s="32" t="s">
        <v>40</v>
      </c>
      <c r="G26" s="32"/>
      <c r="H26" s="33">
        <v>8</v>
      </c>
      <c r="I26" s="34" t="s">
        <v>33</v>
      </c>
    </row>
    <row r="27" spans="1:10" ht="15.75" customHeight="1" x14ac:dyDescent="0.25">
      <c r="A27" s="13" t="s">
        <v>41</v>
      </c>
      <c r="B27" s="35" t="s">
        <v>35</v>
      </c>
      <c r="C27" s="36">
        <f>10*I8</f>
        <v>10</v>
      </c>
      <c r="D27" s="37">
        <f>4*I8</f>
        <v>4</v>
      </c>
      <c r="F27" s="39" t="s">
        <v>42</v>
      </c>
      <c r="G27" s="39"/>
      <c r="H27" s="33">
        <v>10</v>
      </c>
      <c r="I27" s="34" t="s">
        <v>33</v>
      </c>
    </row>
    <row r="28" spans="1:10" ht="17.25" customHeight="1" thickBot="1" x14ac:dyDescent="0.3">
      <c r="C28" s="26"/>
      <c r="D28" s="26"/>
      <c r="F28" s="13" t="s">
        <v>43</v>
      </c>
      <c r="G28" s="24"/>
      <c r="H28" s="40">
        <f>H23+H24+H25+H26+H27</f>
        <v>68.010639999999995</v>
      </c>
      <c r="I28" s="33">
        <f>0.72*H28</f>
        <v>48.967660799999997</v>
      </c>
      <c r="J28" s="41" t="s">
        <v>44</v>
      </c>
    </row>
    <row r="29" spans="1:10" ht="17.25" customHeight="1" thickBot="1" x14ac:dyDescent="0.3">
      <c r="A29" s="42" t="s">
        <v>45</v>
      </c>
      <c r="B29" s="43">
        <f>B26+B25</f>
        <v>78</v>
      </c>
      <c r="C29" s="44">
        <f>C24+C25+C26+C27</f>
        <v>63.456000000000003</v>
      </c>
      <c r="D29" s="43">
        <f>D24+D25+D26+D27</f>
        <v>27.282400000000003</v>
      </c>
      <c r="F29" s="13"/>
      <c r="G29" s="24"/>
      <c r="H29" s="33"/>
      <c r="I29" s="33"/>
      <c r="J29" s="41"/>
    </row>
    <row r="30" spans="1:10" ht="5.25" customHeight="1" thickBot="1" x14ac:dyDescent="0.3">
      <c r="B30" s="26"/>
      <c r="C30" s="26"/>
      <c r="D30" s="26"/>
      <c r="G30" s="45"/>
      <c r="H30" s="46"/>
      <c r="I30" s="47"/>
      <c r="J30" s="41"/>
    </row>
    <row r="31" spans="1:10" ht="18" customHeight="1" thickBot="1" x14ac:dyDescent="0.3">
      <c r="F31" s="42" t="s">
        <v>46</v>
      </c>
      <c r="G31" s="48"/>
      <c r="H31" s="49">
        <f>H28+H29</f>
        <v>68.010639999999995</v>
      </c>
      <c r="I31" s="49">
        <f>I28+I29</f>
        <v>48.967660799999997</v>
      </c>
      <c r="J31" s="41" t="s">
        <v>44</v>
      </c>
    </row>
    <row r="32" spans="1:10" ht="18" customHeight="1" x14ac:dyDescent="0.25">
      <c r="A32" s="13" t="s">
        <v>47</v>
      </c>
      <c r="B32" s="14"/>
      <c r="C32" s="14"/>
      <c r="D32" s="24"/>
      <c r="F32" s="20" t="str">
        <f>IF(H31&lt;110,"","ATTENTION, RESERVOIR INSUFFISANT !")</f>
        <v/>
      </c>
      <c r="J32" s="41"/>
    </row>
    <row r="33" spans="1:10" ht="7.5" customHeight="1" x14ac:dyDescent="0.25">
      <c r="J33" s="41"/>
    </row>
    <row r="34" spans="1:10" ht="17.25" customHeight="1" x14ac:dyDescent="0.25">
      <c r="A34" s="13" t="s">
        <v>48</v>
      </c>
      <c r="B34" s="24"/>
      <c r="C34" s="33">
        <v>900</v>
      </c>
      <c r="D34" s="41" t="s">
        <v>49</v>
      </c>
      <c r="F34" s="13" t="s">
        <v>50</v>
      </c>
      <c r="G34" s="24"/>
      <c r="H34" s="18">
        <v>90</v>
      </c>
      <c r="I34" s="33">
        <f>0.72*H34</f>
        <v>64.8</v>
      </c>
      <c r="J34" s="41" t="s">
        <v>44</v>
      </c>
    </row>
    <row r="35" spans="1:10" ht="17.25" customHeight="1" x14ac:dyDescent="0.25">
      <c r="A35" s="13" t="s">
        <v>51</v>
      </c>
      <c r="B35" s="24"/>
      <c r="C35" s="33">
        <v>559</v>
      </c>
      <c r="D35" s="41" t="s">
        <v>49</v>
      </c>
      <c r="F35" s="13" t="s">
        <v>52</v>
      </c>
      <c r="G35" s="24"/>
      <c r="H35" s="33">
        <f>H31</f>
        <v>68.010639999999995</v>
      </c>
      <c r="I35" s="33">
        <f>I31</f>
        <v>48.967660799999997</v>
      </c>
      <c r="J35" s="41" t="s">
        <v>44</v>
      </c>
    </row>
    <row r="36" spans="1:10" ht="17.25" customHeight="1" x14ac:dyDescent="0.25">
      <c r="A36" s="13" t="s">
        <v>53</v>
      </c>
      <c r="B36" s="24"/>
      <c r="C36" s="33">
        <f>C34-C35</f>
        <v>341</v>
      </c>
      <c r="D36" s="41" t="s">
        <v>49</v>
      </c>
      <c r="F36" s="13" t="s">
        <v>54</v>
      </c>
      <c r="G36" s="24"/>
      <c r="H36" s="50">
        <f>H34-H35</f>
        <v>21.989360000000005</v>
      </c>
      <c r="I36" s="33">
        <f>I34-I35</f>
        <v>15.8323392</v>
      </c>
      <c r="J36" s="41" t="s">
        <v>44</v>
      </c>
    </row>
    <row r="37" spans="1:10" ht="17.25" customHeight="1" thickBot="1" x14ac:dyDescent="0.3">
      <c r="A37" s="13" t="s">
        <v>55</v>
      </c>
      <c r="B37" s="24"/>
      <c r="C37" s="33">
        <f>I34</f>
        <v>64.8</v>
      </c>
      <c r="D37" s="41" t="s">
        <v>49</v>
      </c>
      <c r="F37" s="20" t="str">
        <f>IF(H36&gt;0,"","QUANTITE FUEL INSUFFISANT !")</f>
        <v/>
      </c>
      <c r="J37" s="51"/>
    </row>
    <row r="38" spans="1:10" ht="17.25" customHeight="1" x14ac:dyDescent="0.3">
      <c r="A38" s="13" t="s">
        <v>56</v>
      </c>
      <c r="B38" s="24"/>
      <c r="C38" s="33">
        <f>C36-C37</f>
        <v>276.2</v>
      </c>
      <c r="D38" s="41" t="s">
        <v>49</v>
      </c>
      <c r="F38" s="52" t="s">
        <v>57</v>
      </c>
      <c r="G38" s="53"/>
      <c r="H38" s="54"/>
      <c r="I38" s="55">
        <f>H36/0.4</f>
        <v>54.973400000000012</v>
      </c>
      <c r="J38" s="41"/>
    </row>
    <row r="39" spans="1:10" ht="17.25" customHeight="1" thickBot="1" x14ac:dyDescent="0.3">
      <c r="A39" s="13" t="s">
        <v>58</v>
      </c>
      <c r="B39" s="24"/>
      <c r="C39" s="56">
        <f>B49+B50+B51</f>
        <v>245</v>
      </c>
      <c r="D39" s="41" t="s">
        <v>49</v>
      </c>
      <c r="F39" s="57" t="s">
        <v>59</v>
      </c>
      <c r="G39" s="58"/>
      <c r="H39" s="59"/>
      <c r="I39" s="60" t="s">
        <v>60</v>
      </c>
    </row>
    <row r="40" spans="1:10" ht="4.5" customHeight="1" thickBot="1" x14ac:dyDescent="0.3">
      <c r="C40" s="61"/>
      <c r="D40" s="41"/>
    </row>
    <row r="41" spans="1:10" ht="17.25" customHeight="1" thickBot="1" x14ac:dyDescent="0.3">
      <c r="A41" s="42" t="s">
        <v>61</v>
      </c>
      <c r="B41" s="62"/>
      <c r="C41" s="63">
        <f>C38-C39</f>
        <v>31.199999999999989</v>
      </c>
      <c r="D41" s="41" t="s">
        <v>49</v>
      </c>
      <c r="F41" s="20" t="str">
        <f>IF(H34&lt;110.1,"","CAPACITE RESERVOIR = MAX 110 l  !!!")</f>
        <v/>
      </c>
    </row>
    <row r="42" spans="1:10" ht="15" customHeight="1" x14ac:dyDescent="0.25">
      <c r="A42" s="64" t="str">
        <f>IF(C34&lt;900.1,"","LIMITE UTILE &gt; CHARGE MAX AVION !")</f>
        <v/>
      </c>
      <c r="C42" s="20" t="str">
        <f>IF(C41&lt;0,"SURCHARGE !","")</f>
        <v/>
      </c>
    </row>
    <row r="43" spans="1:10" ht="4.5" customHeight="1" x14ac:dyDescent="0.25"/>
    <row r="44" spans="1:10" ht="16.5" customHeight="1" x14ac:dyDescent="0.3">
      <c r="A44" s="65" t="s">
        <v>62</v>
      </c>
      <c r="G44" s="66" t="s">
        <v>63</v>
      </c>
    </row>
    <row r="45" spans="1:10" ht="2.25" customHeight="1" x14ac:dyDescent="0.25"/>
    <row r="46" spans="1:10" ht="14.25" customHeight="1" x14ac:dyDescent="0.25">
      <c r="B46" s="67" t="s">
        <v>9</v>
      </c>
      <c r="C46" s="67" t="s">
        <v>64</v>
      </c>
      <c r="D46" s="67" t="s">
        <v>10</v>
      </c>
    </row>
    <row r="47" spans="1:10" s="51" customFormat="1" ht="11.25" customHeight="1" x14ac:dyDescent="0.2">
      <c r="B47" s="68" t="s">
        <v>65</v>
      </c>
      <c r="C47" s="68" t="s">
        <v>66</v>
      </c>
      <c r="D47" s="68" t="s">
        <v>67</v>
      </c>
    </row>
    <row r="48" spans="1:10" ht="16.5" customHeight="1" x14ac:dyDescent="0.25">
      <c r="A48" s="32" t="s">
        <v>68</v>
      </c>
      <c r="B48" s="33">
        <v>559</v>
      </c>
      <c r="C48" s="69" t="s">
        <v>69</v>
      </c>
      <c r="D48" s="33">
        <f>0.334*B48</f>
        <v>186.70600000000002</v>
      </c>
    </row>
    <row r="49" spans="1:4" ht="16.5" customHeight="1" x14ac:dyDescent="0.25">
      <c r="A49" s="32" t="s">
        <v>70</v>
      </c>
      <c r="B49" s="18">
        <v>165</v>
      </c>
      <c r="C49" s="69" t="s">
        <v>71</v>
      </c>
      <c r="D49" s="33">
        <f>0.41*B49</f>
        <v>67.649999999999991</v>
      </c>
    </row>
    <row r="50" spans="1:4" ht="16.5" customHeight="1" x14ac:dyDescent="0.25">
      <c r="A50" s="32" t="s">
        <v>72</v>
      </c>
      <c r="B50" s="18">
        <v>50</v>
      </c>
      <c r="C50" s="69" t="s">
        <v>73</v>
      </c>
      <c r="D50" s="33">
        <f>1.19*B50</f>
        <v>59.5</v>
      </c>
    </row>
    <row r="51" spans="1:4" ht="16.5" customHeight="1" x14ac:dyDescent="0.25">
      <c r="A51" s="32" t="s">
        <v>74</v>
      </c>
      <c r="B51" s="18">
        <v>30</v>
      </c>
      <c r="C51" s="69" t="s">
        <v>75</v>
      </c>
      <c r="D51" s="33">
        <f>1.9*B51</f>
        <v>57</v>
      </c>
    </row>
    <row r="52" spans="1:4" ht="4.5" customHeight="1" thickBot="1" x14ac:dyDescent="0.3">
      <c r="B52" s="47"/>
      <c r="D52" s="47"/>
    </row>
    <row r="53" spans="1:4" ht="18" customHeight="1" thickBot="1" x14ac:dyDescent="0.3">
      <c r="A53" s="10" t="s">
        <v>76</v>
      </c>
      <c r="B53" s="70">
        <f>B48+B49+B50+B51</f>
        <v>804</v>
      </c>
      <c r="C53" s="71">
        <f>D53/B53</f>
        <v>0.46126368159203979</v>
      </c>
      <c r="D53" s="72">
        <f>D48+D49+D50+D51</f>
        <v>370.85599999999999</v>
      </c>
    </row>
    <row r="54" spans="1:4" ht="3.75" customHeight="1" x14ac:dyDescent="0.25">
      <c r="B54" s="47"/>
      <c r="D54" s="47"/>
    </row>
    <row r="55" spans="1:4" ht="16.5" customHeight="1" x14ac:dyDescent="0.25">
      <c r="A55" s="13" t="s">
        <v>77</v>
      </c>
      <c r="B55" s="33">
        <f>I34</f>
        <v>64.8</v>
      </c>
      <c r="C55" s="69" t="s">
        <v>78</v>
      </c>
      <c r="D55" s="33">
        <f>1.12*B55</f>
        <v>72.576000000000008</v>
      </c>
    </row>
    <row r="56" spans="1:4" ht="4.5" customHeight="1" thickBot="1" x14ac:dyDescent="0.3">
      <c r="B56" s="47"/>
      <c r="D56" s="47"/>
    </row>
    <row r="57" spans="1:4" ht="18.75" customHeight="1" thickBot="1" x14ac:dyDescent="0.3">
      <c r="A57" s="10" t="s">
        <v>79</v>
      </c>
      <c r="B57" s="73">
        <f>B53+B55</f>
        <v>868.8</v>
      </c>
      <c r="C57" s="71">
        <f>D57/B57</f>
        <v>0.51039594843462255</v>
      </c>
      <c r="D57" s="72">
        <f>D53+D55</f>
        <v>443.43200000000002</v>
      </c>
    </row>
    <row r="58" spans="1:4" ht="6" customHeight="1" x14ac:dyDescent="0.25"/>
    <row r="59" spans="1:4" ht="15.6" x14ac:dyDescent="0.3">
      <c r="A59" s="74" t="str">
        <f>IF(B57&lt;=900,"","DANGER, masse TKOF &gt; masse tolérences avion !!!")</f>
        <v/>
      </c>
    </row>
    <row r="60" spans="1:4" ht="15.6" x14ac:dyDescent="0.3">
      <c r="A60" s="74" t="str">
        <f>IF(B57&lt;=C34,"","DANGER, masse TKOF &gt; Limitation utile !")</f>
        <v/>
      </c>
    </row>
    <row r="61" spans="1:4" ht="6" customHeight="1" x14ac:dyDescent="0.25"/>
  </sheetData>
  <sheetProtection password="C660" sheet="1" objects="1" scenarios="1" selectLockedCells="1"/>
  <protectedRanges>
    <protectedRange sqref="B5 F8 I7:I8 H25 C34:C35 H34 B49:B51" name="Plage1"/>
  </protectedRanges>
  <customSheetViews>
    <customSheetView guid="{F4323760-51AB-488F-9CA8-D3B6F44985BE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M9"/>
  <sheetViews>
    <sheetView workbookViewId="0">
      <selection activeCell="E13" sqref="E13"/>
    </sheetView>
  </sheetViews>
  <sheetFormatPr baseColWidth="10" defaultRowHeight="13.2" x14ac:dyDescent="0.25"/>
  <cols>
    <col min="1" max="1" width="11.44140625" style="90" customWidth="1"/>
    <col min="4" max="4" width="19.88671875" customWidth="1"/>
    <col min="5" max="5" width="15.5546875" customWidth="1"/>
  </cols>
  <sheetData>
    <row r="1" spans="1:13" x14ac:dyDescent="0.25">
      <c r="A1" s="75" t="s">
        <v>80</v>
      </c>
      <c r="B1" s="76" t="s">
        <v>9</v>
      </c>
      <c r="D1" s="77" t="s">
        <v>81</v>
      </c>
      <c r="E1" s="78" t="s">
        <v>82</v>
      </c>
      <c r="M1" t="s">
        <v>83</v>
      </c>
    </row>
    <row r="2" spans="1:13" x14ac:dyDescent="0.25">
      <c r="A2" s="79">
        <v>0.20499999999999999</v>
      </c>
      <c r="B2" s="80">
        <v>600</v>
      </c>
      <c r="D2" s="81">
        <f>Feuil1!C53</f>
        <v>0.46126368159203979</v>
      </c>
      <c r="E2" s="82">
        <f>Feuil1!B53</f>
        <v>804</v>
      </c>
      <c r="L2" s="83">
        <v>38384</v>
      </c>
      <c r="M2">
        <v>550</v>
      </c>
    </row>
    <row r="3" spans="1:13" x14ac:dyDescent="0.25">
      <c r="A3" s="79">
        <v>0.20499999999999999</v>
      </c>
      <c r="B3" s="80">
        <v>750</v>
      </c>
      <c r="D3" s="81">
        <f>Feuil1!C57</f>
        <v>0.51039594843462255</v>
      </c>
      <c r="E3" s="82">
        <f>Feuil1!B57</f>
        <v>868.8</v>
      </c>
      <c r="L3" s="83">
        <v>38384</v>
      </c>
      <c r="M3">
        <v>700</v>
      </c>
    </row>
    <row r="4" spans="1:13" x14ac:dyDescent="0.25">
      <c r="A4" s="79">
        <v>0.42799999999999999</v>
      </c>
      <c r="B4" s="80">
        <v>900</v>
      </c>
      <c r="D4" s="84"/>
      <c r="E4" s="85"/>
      <c r="L4" s="83">
        <v>38386</v>
      </c>
      <c r="M4">
        <v>900</v>
      </c>
    </row>
    <row r="5" spans="1:13" x14ac:dyDescent="0.25">
      <c r="A5" s="79">
        <v>0.56399999999999995</v>
      </c>
      <c r="B5" s="80">
        <v>900</v>
      </c>
      <c r="L5" s="83">
        <v>38388</v>
      </c>
      <c r="M5">
        <v>900</v>
      </c>
    </row>
    <row r="6" spans="1:13" x14ac:dyDescent="0.25">
      <c r="A6" s="79">
        <v>0.56399999999999995</v>
      </c>
      <c r="B6" s="80">
        <v>600</v>
      </c>
      <c r="L6" s="83">
        <v>38388</v>
      </c>
      <c r="M6">
        <v>550</v>
      </c>
    </row>
    <row r="7" spans="1:13" x14ac:dyDescent="0.25">
      <c r="A7" s="86"/>
      <c r="B7" s="87"/>
    </row>
    <row r="8" spans="1:13" x14ac:dyDescent="0.25">
      <c r="A8" s="88" t="s">
        <v>84</v>
      </c>
      <c r="B8" s="87"/>
    </row>
    <row r="9" spans="1:13" x14ac:dyDescent="0.25">
      <c r="A9" s="89"/>
      <c r="B9" s="85"/>
    </row>
  </sheetData>
  <sheetProtection password="C660" sheet="1" objects="1" scenarios="1"/>
  <customSheetViews>
    <customSheetView guid="{F4323760-51AB-488F-9CA8-D3B6F44985BE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Déprotection Excel</dc:title>
  <dc:subject>Oter la protection</dc:subject>
  <dc:creator>us</dc:creator>
  <cp:keywords>Déprotection Excel</cp:keywords>
  <dc:description>Permet la déprotection d'une feuille ou d''un classeur Excel, pour toutes les versions de 97 à 2003</dc:description>
  <cp:lastModifiedBy>Didier GALANT</cp:lastModifiedBy>
  <dcterms:created xsi:type="dcterms:W3CDTF">2005-11-30T17:50:26Z</dcterms:created>
  <dcterms:modified xsi:type="dcterms:W3CDTF">2022-02-08T14:25:59Z</dcterms:modified>
  <cp:category>Excel</cp:category>
</cp:coreProperties>
</file>